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9300" activeTab="0"/>
  </bookViews>
  <sheets>
    <sheet name="школ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<sst xmlns="http://schemas.openxmlformats.org/spreadsheetml/2006/main" count="110" uniqueCount="89">
  <si>
    <t>Назначено</t>
  </si>
  <si>
    <t>Проф-но</t>
  </si>
  <si>
    <t>Касса</t>
  </si>
  <si>
    <t>Факт</t>
  </si>
  <si>
    <t>Остатки лимитов</t>
  </si>
  <si>
    <t>Классификация</t>
  </si>
  <si>
    <t>Месячный отчет об исполнении бюджета</t>
  </si>
  <si>
    <t xml:space="preserve">        наименование учреждения                                                                                          </t>
  </si>
  <si>
    <t>Ед. изм. руб., коп.</t>
  </si>
  <si>
    <t xml:space="preserve">Предоставление мер гос.поддержки многодетным семьям по бесплатному питанию учащихся </t>
  </si>
  <si>
    <t>Заработная плата</t>
  </si>
  <si>
    <t>Начисления на выплаты по оплате труда</t>
  </si>
  <si>
    <t>Лагерь дневного пребывания детей</t>
  </si>
  <si>
    <t>Другие расходы по содержанию имущества</t>
  </si>
  <si>
    <t>Услуги связи</t>
  </si>
  <si>
    <t>Оплата услуг отопления (тэц)</t>
  </si>
  <si>
    <t>Оплата услуг холодного водоснабжения</t>
  </si>
  <si>
    <t>Оплата услуг потребления электроэнергии</t>
  </si>
  <si>
    <t>Оплата услуг канализации, ассенизации, водоотведения</t>
  </si>
  <si>
    <t>Пособия по социальной помощи населению</t>
  </si>
  <si>
    <t>Выплата вознаграждения за выполнение функций  по кл. рук-ву</t>
  </si>
  <si>
    <t>Взносы на  вознаграждение за выполнение функций  по кл. рук-ву</t>
  </si>
  <si>
    <t>Итого</t>
  </si>
  <si>
    <t>Всего</t>
  </si>
  <si>
    <t>МБОУ Лицей г.Бирска</t>
  </si>
  <si>
    <t>Гл.бухгалтер</t>
  </si>
  <si>
    <t>Полежаева А.Л.</t>
  </si>
  <si>
    <t xml:space="preserve">Модернизация региональных систем общего образования </t>
  </si>
  <si>
    <r>
      <t xml:space="preserve">\0702\775\4219901\611\888\РЗ541-08_1\1211\РМ-В-5000\1-01-П00-О00\МУ       </t>
    </r>
    <r>
      <rPr>
        <sz val="10"/>
        <color indexed="10"/>
        <rFont val="Times New Roman"/>
        <family val="1"/>
      </rPr>
      <t xml:space="preserve">  011-1122</t>
    </r>
  </si>
  <si>
    <r>
      <t xml:space="preserve">\0702\775\4219901\611\888\РЗ541-08_1\1213\РМ-В-5000\1-01-П00-О00\МУ       </t>
    </r>
    <r>
      <rPr>
        <sz val="10"/>
        <color indexed="10"/>
        <rFont val="Times New Roman"/>
        <family val="1"/>
      </rPr>
      <t xml:space="preserve">  011-1122</t>
    </r>
  </si>
  <si>
    <r>
      <t xml:space="preserve">\0702\775\4219901\611\888\ФЗ131-03_2\1212.2\РМ-А-1800\2-00-000-000\МУ       </t>
    </r>
    <r>
      <rPr>
        <sz val="10"/>
        <color indexed="10"/>
        <rFont val="Times New Roman"/>
        <family val="1"/>
      </rPr>
      <t xml:space="preserve"> 013-1122</t>
    </r>
  </si>
  <si>
    <r>
      <t xml:space="preserve">\0702\775\4219901\611\888\ФЗ131-03_2\1221\РМ-А-1800\2-00-000-000\МУ       </t>
    </r>
    <r>
      <rPr>
        <sz val="10"/>
        <color indexed="10"/>
        <rFont val="Times New Roman"/>
        <family val="1"/>
      </rPr>
      <t xml:space="preserve"> 013-1122</t>
    </r>
  </si>
  <si>
    <t>Услуги по охране(в т.ч.вневедомственной и пожарной)</t>
  </si>
  <si>
    <t>Услуги в области информационных технологий</t>
  </si>
  <si>
    <t>Прочие расходы</t>
  </si>
  <si>
    <t>Содержание в чистоте помещений,зданий,дворов,иного имущества</t>
  </si>
  <si>
    <r>
      <t xml:space="preserve">\0702\775\4219901\611\888\ФЗ131-03_2\1223.1\РМ-А-1800\2-00-000-000\МУ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</si>
  <si>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\0702\775\4219901\611\888\ФЗ131-03_2\1223.4\РМ-А-1800\2-00-000-000\МУ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</si>
  <si>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\0702\775\4219901\611\888\ФЗ131-03_2\1223.6\РМ-А-1800\2-00-000-000\МУ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</si>
  <si>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\0702\775\4219901\611\888\ФЗ131-03_2\1223.7\РМ-А-1800\2-00-000-000\МУ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</si>
  <si>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\0702\775\4219901\611\888\ФЗ131-03_2\1226.5\РМ-А-1800\2-00-000-000\МУ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</si>
  <si>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\0702\775\4219901\611\888\ФЗ131-03_2\1226.7\РМ-А-1800\2-00-000-000\МУ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</si>
  <si>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\0702\775\4219901\611\888\ФЗ131-03_2\1340.23\РМ-А-1800\2-00-000-000\МУ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</si>
  <si>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\0702\775\4219901\611\888\ФЗ131-03_2\1340.3\РМ-А-1800\2-00-000-000\МУ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</si>
  <si>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\0702\775\4219901\611\888\ФЗ131-03_2\1223.1\РМ-А-1800\2-00-000-000\И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</si>
  <si>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\0702\775\4219901\611\888\ФЗ131-03_2\1223.6\РМ-А-1800\2-00-000-000\И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</si>
  <si>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\0702\775\4219901\611\888\ФЗ131-03_2\1225.1\РМ-А-1800\2-00-000-000\И  </t>
    </r>
    <r>
      <rPr>
        <sz val="10"/>
        <color indexed="10"/>
        <rFont val="Times New Roman"/>
        <family val="1"/>
      </rPr>
      <t>013-1122</t>
    </r>
  </si>
  <si>
    <t>Противопожарные мероприятия</t>
  </si>
  <si>
    <r>
      <t xml:space="preserve">\0702\775\4219901\611\888\ФЗ131-03_2\1225.4\РМ-А-1800\2-00-000-000\И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</si>
  <si>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\0702\775\4219901\611\888\ФЗ131-03_2\1225.6\РМ-А-1800\2-00-000-000\И  </t>
    </r>
    <r>
      <rPr>
        <sz val="10"/>
        <color indexed="10"/>
        <rFont val="Times New Roman"/>
        <family val="1"/>
      </rPr>
      <t>013-1122</t>
    </r>
  </si>
  <si>
    <t>Уплата налогов,входящих в группу налога на имущество</t>
  </si>
  <si>
    <r>
      <t xml:space="preserve">\0702\775\4219901\611\888\ФЗ131-03_2\1290.1.1\РМ-А-1800\2-00-000-000\И  </t>
    </r>
    <r>
      <rPr>
        <sz val="10"/>
        <color indexed="10"/>
        <rFont val="Times New Roman"/>
        <family val="1"/>
      </rPr>
      <t>013-1122</t>
    </r>
  </si>
  <si>
    <r>
      <t xml:space="preserve">\0702\775\4362103\611\888\РЗ541-08_1\1310.2\РМ-В-5000\1-01-П00-О00\МУ       </t>
    </r>
    <r>
      <rPr>
        <sz val="10"/>
        <color indexed="10"/>
        <rFont val="Times New Roman"/>
        <family val="1"/>
      </rPr>
      <t xml:space="preserve">  011-1122</t>
    </r>
  </si>
  <si>
    <r>
      <t xml:space="preserve">\0707\775\4320300\612\888\РЗ260-05_6\1340.23\РМ-В-9916\1-01-П00-О00\МУ      </t>
    </r>
    <r>
      <rPr>
        <sz val="10"/>
        <color indexed="10"/>
        <rFont val="Times New Roman"/>
        <family val="1"/>
      </rPr>
      <t>011-1132</t>
    </r>
  </si>
  <si>
    <t>Выплаты пед.работникам на приобр.книгоизд.продукции и период.изданий</t>
  </si>
  <si>
    <t>Прочие работы и услуги</t>
  </si>
  <si>
    <t>\0702\775\5200900\611\888\ФП1238-10_1\1213\РМ-В-5000\1-01-П00-О00\МУ      012-1122</t>
  </si>
  <si>
    <t>\0702\775\5200900\611\888\ФП1238-10_1\1211\РМ-В-5000\1-01-П00-О00\МУ      012-1122</t>
  </si>
  <si>
    <r>
      <t xml:space="preserve">\0709\775\7950000\612\888\ФЗ131-03_2\1340.3\РМ-А-3700\2-00-000-000\0\0011  </t>
    </r>
    <r>
      <rPr>
        <sz val="10"/>
        <color indexed="10"/>
        <rFont val="Times New Roman"/>
        <family val="1"/>
      </rPr>
      <t>013-1132</t>
    </r>
  </si>
  <si>
    <t>Трудовое объединение</t>
  </si>
  <si>
    <r>
      <t xml:space="preserve">\0702\775\4320400\612\888\ФЗ131-03_2\1340.23\РМ-А-1800\2-00-000-000\0\0015  </t>
    </r>
    <r>
      <rPr>
        <sz val="10"/>
        <color indexed="10"/>
        <rFont val="Times New Roman"/>
        <family val="1"/>
      </rPr>
      <t>013-1132</t>
    </r>
  </si>
  <si>
    <r>
      <t>\1003\775\5058544\612\888\ФЗ184-99_37\</t>
    </r>
    <r>
      <rPr>
        <sz val="10"/>
        <color indexed="10"/>
        <rFont val="Times New Roman"/>
        <family val="1"/>
      </rPr>
      <t>1340.23</t>
    </r>
    <r>
      <rPr>
        <sz val="10"/>
        <rFont val="Times New Roman"/>
        <family val="1"/>
      </rPr>
      <t xml:space="preserve">\РМ-В-5100-04\1-01-П00-О00\0\0004       </t>
    </r>
    <r>
      <rPr>
        <sz val="10"/>
        <color indexed="10"/>
        <rFont val="Times New Roman"/>
        <family val="1"/>
      </rPr>
      <t>011-1132</t>
    </r>
  </si>
  <si>
    <r>
      <t xml:space="preserve">\1003\775\5058543\612\888\ФЗ184-99_37\1262\РМ-В-5100-04\1-01-П00-О00\0\0001    </t>
    </r>
    <r>
      <rPr>
        <sz val="10"/>
        <color indexed="10"/>
        <rFont val="Times New Roman"/>
        <family val="1"/>
      </rPr>
      <t>011-1132</t>
    </r>
  </si>
  <si>
    <r>
      <t xml:space="preserve">\1003\775\5058543\612\888\ФЗ184-99_37\1226.10\РМ-В-5100-04\1-01-П00-О00\0\0001    </t>
    </r>
    <r>
      <rPr>
        <sz val="10"/>
        <color indexed="10"/>
        <rFont val="Times New Roman"/>
        <family val="1"/>
      </rPr>
      <t>011-1132</t>
    </r>
  </si>
  <si>
    <r>
      <t xml:space="preserve">\0702\775\4219901\611\888\ФЗ131-03_2\1226.7\РМ-А-1800\2-00-000-000\0  </t>
    </r>
    <r>
      <rPr>
        <sz val="10"/>
        <color indexed="10"/>
        <rFont val="Times New Roman"/>
        <family val="1"/>
      </rPr>
      <t>013-2122</t>
    </r>
  </si>
  <si>
    <r>
      <t xml:space="preserve">\0702\775\4219901\611\888\ФЗ131-03_2\1226.5\РМ-А-1800\2-00-000-000\И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</si>
  <si>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\0702\775\4219901\611\888\ФЗ131-03_2\1226.7\РМ-А-1800\2-00-000-000\И  </t>
    </r>
    <r>
      <rPr>
        <sz val="10"/>
        <color indexed="10"/>
        <rFont val="Times New Roman"/>
        <family val="1"/>
      </rPr>
      <t>013-1122</t>
    </r>
  </si>
  <si>
    <r>
      <t xml:space="preserve">\0702\775\4362101\612\888\ФП436-11_1\1310.2\РМ-А-1800\1-01-П00-О00\0\0020       </t>
    </r>
    <r>
      <rPr>
        <sz val="10"/>
        <color indexed="10"/>
        <rFont val="Times New Roman"/>
        <family val="1"/>
      </rPr>
      <t xml:space="preserve">  012-1132</t>
    </r>
  </si>
  <si>
    <r>
      <t xml:space="preserve">\0702\775\4362103\612\888\ФП436-11_1\1310.2\РМ-А-1800\1-01-П00-О00\0\0021       </t>
    </r>
    <r>
      <rPr>
        <sz val="10"/>
        <color indexed="10"/>
        <rFont val="Times New Roman"/>
        <family val="1"/>
      </rPr>
      <t xml:space="preserve">  012-1132</t>
    </r>
  </si>
  <si>
    <r>
      <t xml:space="preserve">\0702\775\4362105\612\888\ФП436-11_1\1226.10\РМ-А-1800\1-01-П00-О00\0\0022       </t>
    </r>
    <r>
      <rPr>
        <sz val="10"/>
        <color indexed="10"/>
        <rFont val="Times New Roman"/>
        <family val="1"/>
      </rPr>
      <t xml:space="preserve">  012-1132</t>
    </r>
  </si>
  <si>
    <r>
      <t xml:space="preserve">\0702\775\4362108\612\888\ФП436-11_1\1225.3\РМ-А-1800\1-01-П00-О00\0\0024       </t>
    </r>
    <r>
      <rPr>
        <sz val="10"/>
        <color indexed="10"/>
        <rFont val="Times New Roman"/>
        <family val="1"/>
      </rPr>
      <t xml:space="preserve">  012-1132</t>
    </r>
  </si>
  <si>
    <r>
      <t xml:space="preserve">\0702\775\4219901\611\888\ФЗ131-03_2\1225.2\РМ-А-1800\2-00-000-000\И  </t>
    </r>
    <r>
      <rPr>
        <sz val="10"/>
        <color indexed="10"/>
        <rFont val="Times New Roman"/>
        <family val="1"/>
      </rPr>
      <t>013-1122</t>
    </r>
  </si>
  <si>
    <t>Текущий ремонт</t>
  </si>
  <si>
    <t>Капитальный ремонт</t>
  </si>
  <si>
    <r>
      <t xml:space="preserve">\0702\775\4219901\611\888\ФЗ131-03_2\1225.3\РМ-А-1800\2-00-000-000\И  </t>
    </r>
    <r>
      <rPr>
        <sz val="10"/>
        <color indexed="10"/>
        <rFont val="Times New Roman"/>
        <family val="1"/>
      </rPr>
      <t>013-1122</t>
    </r>
  </si>
  <si>
    <t>\0702\775\4219901\612\888\ФЗ131-03_2\1262\РМ-А-1800\1-01-П00-О00\0\0035    011-1131</t>
  </si>
  <si>
    <r>
      <t xml:space="preserve">\0702\775\4219901\611\888\ФЗ131-03_2\1225.2\РМ-А-1800\2-00-000-000\МУ  </t>
    </r>
    <r>
      <rPr>
        <sz val="10"/>
        <color indexed="10"/>
        <rFont val="Times New Roman"/>
        <family val="1"/>
      </rPr>
      <t>013-1122</t>
    </r>
  </si>
  <si>
    <t>Сан.эпид.работы,медосмотр</t>
  </si>
  <si>
    <r>
      <t xml:space="preserve">\0702\775\4219901\611\888\ФЗ131-03_2\1226.9\РМ-А-1800\2-00-000-000\МУ  </t>
    </r>
    <r>
      <rPr>
        <sz val="10"/>
        <color indexed="10"/>
        <rFont val="Times New Roman"/>
        <family val="1"/>
      </rPr>
      <t>013-1122</t>
    </r>
  </si>
  <si>
    <r>
      <t xml:space="preserve">\0702\775\4219901\611\888\ФЗ131-03_2\1221\РМ-А-1800\2-00-000-000\И      </t>
    </r>
    <r>
      <rPr>
        <sz val="10"/>
        <color indexed="10"/>
        <rFont val="Times New Roman"/>
        <family val="1"/>
      </rPr>
      <t xml:space="preserve"> 013-1122</t>
    </r>
  </si>
  <si>
    <t>\0702\775\4362800\612\888\ФЗ131-03_2\1262\РМ-А-1800\1-01-П00-О00\0\0040   011-1131</t>
  </si>
  <si>
    <r>
      <t xml:space="preserve">\0702\775\4219901\611\888\ФЗ131-03_2\1226.10\РМ-А-1800\2-00-000-000\И  </t>
    </r>
    <r>
      <rPr>
        <sz val="10"/>
        <color indexed="10"/>
        <rFont val="Times New Roman"/>
        <family val="1"/>
      </rPr>
      <t>013-2122</t>
    </r>
  </si>
  <si>
    <r>
      <t xml:space="preserve">\0702\775\4219901\611\888\ФЗ131-03_2\1310.2\РМ-А-1800\2-00-000-000\И  </t>
    </r>
    <r>
      <rPr>
        <sz val="10"/>
        <color indexed="10"/>
        <rFont val="Times New Roman"/>
        <family val="1"/>
      </rPr>
      <t>013-2122</t>
    </r>
  </si>
  <si>
    <r>
      <t xml:space="preserve">\0702\775\4219901\611\888\ФЗ131-03_2\1310.2\РМ-А-1800\2-00-000-000\МУ  </t>
    </r>
    <r>
      <rPr>
        <sz val="10"/>
        <color indexed="10"/>
        <rFont val="Times New Roman"/>
        <family val="1"/>
      </rPr>
      <t>013-2122</t>
    </r>
  </si>
  <si>
    <t>Директор</t>
  </si>
  <si>
    <t>Беляев С.Л.</t>
  </si>
  <si>
    <r>
      <t xml:space="preserve">\1003\775\5058543\612\888\ФЗ184-99_37\1226.10\РМ-В-5100-04\1-01-П00-О00\0\0042    </t>
    </r>
    <r>
      <rPr>
        <sz val="10"/>
        <color indexed="10"/>
        <rFont val="Times New Roman"/>
        <family val="1"/>
      </rPr>
      <t>011-1132</t>
    </r>
  </si>
  <si>
    <r>
      <t xml:space="preserve">\1003\775\5058543\612\888\ФЗ184-99_37\1262\РМ-В-5100-04\1-01-П00-О00\0\0042    </t>
    </r>
    <r>
      <rPr>
        <sz val="10"/>
        <color indexed="10"/>
        <rFont val="Times New Roman"/>
        <family val="1"/>
      </rPr>
      <t>011-1132</t>
    </r>
  </si>
  <si>
    <t>на 1 января 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</si>
</sst>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[$-FC19]d\ mmmm\ yyyy\ &quot;г.&quot;"/>
  </numFmts>
  <fonts count="3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b/>
      <u val="single"/>
      <sz val="12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0" fillId="0" borderId="10" xfId="0" applyNumberFormat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26.625" style="0" customWidth="1"/>
    <col min="2" max="2" width="41.625" style="0" customWidth="1"/>
    <col min="3" max="3" width="13.375" style="0" customWidth="1"/>
    <col min="4" max="4" width="13.125" style="0" customWidth="1"/>
    <col min="5" max="5" width="13.625" style="0" customWidth="1"/>
    <col min="6" max="6" width="14.00390625" style="0" customWidth="1"/>
    <col min="7" max="7" width="14.375" style="0" customWidth="1"/>
    <col min="10" max="16384" width="9.125" style="8" customWidth="1"/>
  </cols>
  <sheetData>
    <row r="1" spans="1:7" ht="18.75">
      <c r="A1" s="9"/>
      <c r="B1" s="23" t="s">
        <v>6</v>
      </c>
      <c r="C1" s="23"/>
      <c r="D1" s="23"/>
      <c r="E1" s="23"/>
      <c r="F1" s="23"/>
      <c r="G1" s="11"/>
    </row>
    <row r="2" spans="1:7" ht="18.75">
      <c r="A2" s="9"/>
      <c r="B2" s="23" t="s">
        <v>24</v>
      </c>
      <c r="C2" s="23"/>
      <c r="D2" s="23"/>
      <c r="E2" s="23"/>
      <c r="F2" s="10"/>
      <c r="G2" s="11"/>
    </row>
    <row r="3" spans="1:7" ht="12.75" customHeight="1" thickBot="1">
      <c r="A3" s="24" t="s">
        <v>7</v>
      </c>
      <c r="B3" s="25"/>
      <c r="C3" s="25"/>
      <c r="D3" s="25"/>
      <c r="E3" s="25"/>
      <c r="F3" s="25"/>
      <c r="G3" s="25"/>
    </row>
    <row r="4" spans="1:7" ht="12.75" customHeight="1" thickBot="1" thickTop="1">
      <c r="A4" s="17"/>
      <c r="B4" s="18"/>
      <c r="C4" s="18"/>
      <c r="D4" s="18"/>
      <c r="E4" s="18"/>
      <c r="F4" s="18"/>
      <c r="G4" s="18"/>
    </row>
    <row r="5" spans="1:7" ht="16.5" thickTop="1">
      <c r="A5" s="9"/>
      <c r="B5" s="26" t="s">
        <v>88</v>
      </c>
      <c r="C5" s="27"/>
      <c r="D5" s="27"/>
      <c r="E5" s="12"/>
      <c r="F5" s="11"/>
      <c r="G5" s="11"/>
    </row>
    <row r="6" spans="1:6" ht="14.25">
      <c r="A6" s="13"/>
      <c r="B6" s="14"/>
      <c r="C6" s="15"/>
      <c r="D6" s="15"/>
      <c r="E6" s="15"/>
      <c r="F6" s="16" t="s">
        <v>8</v>
      </c>
    </row>
    <row r="7" spans="1:9" ht="25.5">
      <c r="A7" s="4"/>
      <c r="B7" s="5" t="s">
        <v>5</v>
      </c>
      <c r="C7" s="2" t="s">
        <v>0</v>
      </c>
      <c r="D7" s="2" t="s">
        <v>1</v>
      </c>
      <c r="E7" s="2" t="s">
        <v>2</v>
      </c>
      <c r="F7" s="2" t="s">
        <v>3</v>
      </c>
      <c r="G7" s="3" t="s">
        <v>4</v>
      </c>
      <c r="H7" s="8"/>
      <c r="I7" s="8"/>
    </row>
    <row r="8" spans="1:7" ht="25.5">
      <c r="A8" s="1" t="s">
        <v>10</v>
      </c>
      <c r="B8" s="1" t="s">
        <v>28</v>
      </c>
      <c r="C8" s="19">
        <f>6369804+606759+12000</f>
        <v>6988563</v>
      </c>
      <c r="D8" s="19">
        <f>212000+166051.19+81626.79+4113.67+46345+212000+298099.37+214000+295999.5+220000+275176.05+212000+400305.41+488117.25+543000+448632.04+42500+65324.13+129000+256561.41+217000+5000+301078.68+280000+386388.28+235000+332673.68+8000+612570.55</f>
        <v>6988563</v>
      </c>
      <c r="E8" s="19">
        <f>D8</f>
        <v>6988563</v>
      </c>
      <c r="F8" s="19">
        <f>510136.65+510099.37+509999.5+495176.05+1100422.66+991632.04+107824.13+385561.41+523078.68+666388.28+567673.68</f>
        <v>6367992.45</v>
      </c>
      <c r="G8" s="19">
        <f aca="true" t="shared" si="0" ref="G8:G51">C8-D8</f>
        <v>0</v>
      </c>
    </row>
    <row r="9" spans="1:7" ht="25.5">
      <c r="A9" s="1" t="s">
        <v>11</v>
      </c>
      <c r="B9" s="1" t="s">
        <v>29</v>
      </c>
      <c r="C9" s="19">
        <f>1923681+183241-12000</f>
        <v>2094922</v>
      </c>
      <c r="D9" s="19">
        <f>12055.53+95324.14+19112.5+26528.5+1040.33+20773.28+683-23262.65+149298.04+6600+154138.65-19074.62+13084.58+140118.09+217054.59+120892.26+15050.75+155530+122749.56+31354.89+116225.89+163921.28+197276.83+899.75+171123.34+186423.49</f>
        <v>2094922</v>
      </c>
      <c r="E9" s="19">
        <f aca="true" t="shared" si="1" ref="E9:E51">D9</f>
        <v>2094922</v>
      </c>
      <c r="F9" s="19">
        <f>31354.89+1227696.53+116225.89+163921.28+197276.83+171123.34</f>
        <v>1907598.76</v>
      </c>
      <c r="G9" s="19">
        <f t="shared" si="0"/>
        <v>0</v>
      </c>
    </row>
    <row r="10" spans="1:7" ht="25.5">
      <c r="A10" s="21" t="s">
        <v>27</v>
      </c>
      <c r="B10" s="1" t="s">
        <v>52</v>
      </c>
      <c r="C10" s="19">
        <f>180000-396</f>
        <v>179604</v>
      </c>
      <c r="D10" s="19">
        <f>51832+38288.21+89483.79</f>
        <v>179604</v>
      </c>
      <c r="E10" s="19">
        <f t="shared" si="1"/>
        <v>179604</v>
      </c>
      <c r="F10" s="19">
        <f>E10</f>
        <v>179604</v>
      </c>
      <c r="G10" s="19">
        <f t="shared" si="0"/>
        <v>0</v>
      </c>
    </row>
    <row r="11" spans="1:7" ht="25.5">
      <c r="A11" s="21" t="s">
        <v>27</v>
      </c>
      <c r="B11" s="1" t="s">
        <v>67</v>
      </c>
      <c r="C11" s="19">
        <f>154400</f>
        <v>154400</v>
      </c>
      <c r="D11" s="19">
        <f>50000+72000+32400</f>
        <v>154400</v>
      </c>
      <c r="E11" s="19">
        <f t="shared" si="1"/>
        <v>154400</v>
      </c>
      <c r="F11" s="19">
        <f>D11</f>
        <v>154400</v>
      </c>
      <c r="G11" s="19">
        <f t="shared" si="0"/>
        <v>0</v>
      </c>
    </row>
    <row r="12" spans="1:7" ht="25.5">
      <c r="A12" s="21" t="s">
        <v>27</v>
      </c>
      <c r="B12" s="1" t="s">
        <v>68</v>
      </c>
      <c r="C12" s="19">
        <f>44381</f>
        <v>44381</v>
      </c>
      <c r="D12" s="19">
        <f>44381</f>
        <v>44381</v>
      </c>
      <c r="E12" s="19">
        <f t="shared" si="1"/>
        <v>44381</v>
      </c>
      <c r="F12" s="19">
        <v>44381</v>
      </c>
      <c r="G12" s="19">
        <f t="shared" si="0"/>
        <v>0</v>
      </c>
    </row>
    <row r="13" spans="1:7" ht="25.5">
      <c r="A13" s="21" t="s">
        <v>27</v>
      </c>
      <c r="B13" s="1" t="s">
        <v>69</v>
      </c>
      <c r="C13" s="19">
        <f>7000</f>
        <v>7000</v>
      </c>
      <c r="D13" s="19">
        <f>3000+2000+2000</f>
        <v>7000</v>
      </c>
      <c r="E13" s="19">
        <f t="shared" si="1"/>
        <v>7000</v>
      </c>
      <c r="F13" s="19">
        <f>D13</f>
        <v>7000</v>
      </c>
      <c r="G13" s="19">
        <f t="shared" si="0"/>
        <v>0</v>
      </c>
    </row>
    <row r="14" spans="1:7" ht="25.5">
      <c r="A14" s="21" t="s">
        <v>27</v>
      </c>
      <c r="B14" s="1" t="s">
        <v>70</v>
      </c>
      <c r="C14" s="19">
        <f>350000</f>
        <v>350000</v>
      </c>
      <c r="D14" s="19">
        <f>348999.9+1000.1</f>
        <v>350000</v>
      </c>
      <c r="E14" s="19">
        <f t="shared" si="1"/>
        <v>350000</v>
      </c>
      <c r="F14" s="19">
        <f>D14</f>
        <v>350000</v>
      </c>
      <c r="G14" s="19">
        <f t="shared" si="0"/>
        <v>0</v>
      </c>
    </row>
    <row r="15" spans="1:7" ht="38.25" customHeight="1">
      <c r="A15" s="1" t="s">
        <v>19</v>
      </c>
      <c r="B15" s="1" t="s">
        <v>80</v>
      </c>
      <c r="C15" s="19">
        <v>26730</v>
      </c>
      <c r="D15" s="19">
        <v>26730</v>
      </c>
      <c r="E15" s="19">
        <f t="shared" si="1"/>
        <v>26730</v>
      </c>
      <c r="F15" s="19">
        <f>D15</f>
        <v>26730</v>
      </c>
      <c r="G15" s="19">
        <f t="shared" si="0"/>
        <v>0</v>
      </c>
    </row>
    <row r="16" spans="1:7" ht="25.5">
      <c r="A16" s="21" t="s">
        <v>12</v>
      </c>
      <c r="B16" s="22" t="s">
        <v>53</v>
      </c>
      <c r="C16" s="19">
        <v>110300</v>
      </c>
      <c r="D16" s="19">
        <f>2452.2+375+10000+17644.2+16492.9+1425.6+4795+12240+6084.85+12024+15426.1+11340.15</f>
        <v>110300</v>
      </c>
      <c r="E16" s="19">
        <f t="shared" si="1"/>
        <v>110300</v>
      </c>
      <c r="F16" s="19">
        <v>110300</v>
      </c>
      <c r="G16" s="19">
        <f t="shared" si="0"/>
        <v>0</v>
      </c>
    </row>
    <row r="17" spans="1:7" ht="51">
      <c r="A17" s="21" t="s">
        <v>9</v>
      </c>
      <c r="B17" s="21" t="s">
        <v>61</v>
      </c>
      <c r="C17" s="19">
        <f>134790+8000</f>
        <v>142790</v>
      </c>
      <c r="D17" s="19">
        <f>22464+22464+11232+12089+20149+10000+32262+4120+8000+10</f>
        <v>142790</v>
      </c>
      <c r="E17" s="19">
        <f t="shared" si="1"/>
        <v>142790</v>
      </c>
      <c r="F17" s="19">
        <f>11106.24+15271.08+11951.28+17474.22+14818.38+14576.94+15210.72+13943.16</f>
        <v>114352.02</v>
      </c>
      <c r="G17" s="19">
        <f t="shared" si="0"/>
        <v>0</v>
      </c>
    </row>
    <row r="18" spans="1:7" ht="38.25" customHeight="1">
      <c r="A18" s="1" t="s">
        <v>59</v>
      </c>
      <c r="B18" s="1" t="s">
        <v>60</v>
      </c>
      <c r="C18" s="19">
        <v>33384</v>
      </c>
      <c r="D18" s="19">
        <v>33384</v>
      </c>
      <c r="E18" s="19">
        <f t="shared" si="1"/>
        <v>33384</v>
      </c>
      <c r="F18" s="19">
        <f aca="true" t="shared" si="2" ref="F18:F27">D18</f>
        <v>33384</v>
      </c>
      <c r="G18" s="19">
        <f t="shared" si="0"/>
        <v>0</v>
      </c>
    </row>
    <row r="19" spans="1:7" ht="38.25" customHeight="1">
      <c r="A19" s="1" t="s">
        <v>15</v>
      </c>
      <c r="B19" s="1" t="s">
        <v>44</v>
      </c>
      <c r="C19" s="19">
        <f>150000+25000</f>
        <v>175000</v>
      </c>
      <c r="D19" s="19">
        <f>79166.84+61044.13+9789.03+25000</f>
        <v>175000</v>
      </c>
      <c r="E19" s="19">
        <f t="shared" si="1"/>
        <v>175000</v>
      </c>
      <c r="F19" s="19">
        <f t="shared" si="2"/>
        <v>175000</v>
      </c>
      <c r="G19" s="19">
        <f t="shared" si="0"/>
        <v>0</v>
      </c>
    </row>
    <row r="20" spans="1:7" ht="38.25" customHeight="1">
      <c r="A20" s="1" t="s">
        <v>17</v>
      </c>
      <c r="B20" s="1" t="s">
        <v>45</v>
      </c>
      <c r="C20" s="19">
        <f>25000</f>
        <v>25000</v>
      </c>
      <c r="D20" s="19">
        <f>18159.07+6840.93</f>
        <v>25000</v>
      </c>
      <c r="E20" s="19">
        <f t="shared" si="1"/>
        <v>25000</v>
      </c>
      <c r="F20" s="19">
        <f t="shared" si="2"/>
        <v>25000</v>
      </c>
      <c r="G20" s="19">
        <f t="shared" si="0"/>
        <v>0</v>
      </c>
    </row>
    <row r="21" spans="1:7" ht="38.25" customHeight="1">
      <c r="A21" s="1" t="s">
        <v>35</v>
      </c>
      <c r="B21" s="1" t="s">
        <v>46</v>
      </c>
      <c r="C21" s="19">
        <f>2000+24622.58-2595.9</f>
        <v>24026.68</v>
      </c>
      <c r="D21" s="19">
        <f>1209.7+725.82+3629.1+6517.12+1224.9+1997.6+734.94+1224.9+1437.6+1437.6+1437.6+1224.9+1224.9</f>
        <v>24026.68</v>
      </c>
      <c r="E21" s="19">
        <f t="shared" si="1"/>
        <v>24026.68</v>
      </c>
      <c r="F21" s="19">
        <f t="shared" si="2"/>
        <v>24026.68</v>
      </c>
      <c r="G21" s="19">
        <f t="shared" si="0"/>
        <v>0</v>
      </c>
    </row>
    <row r="22" spans="1:7" ht="38.25" customHeight="1">
      <c r="A22" s="1" t="s">
        <v>13</v>
      </c>
      <c r="B22" s="1" t="s">
        <v>49</v>
      </c>
      <c r="C22" s="19">
        <f>16294+108100-3682.55</f>
        <v>120711.45</v>
      </c>
      <c r="D22" s="19">
        <f>930+930+14525+930+2800+930+930+14525+4200+930+29519.87+930+930+14525+930+735.58+678+500+4200+800+14525+930+1758+2060+930+930+4200</f>
        <v>120711.45</v>
      </c>
      <c r="E22" s="19">
        <f t="shared" si="1"/>
        <v>120711.45</v>
      </c>
      <c r="F22" s="19">
        <f t="shared" si="2"/>
        <v>120711.45</v>
      </c>
      <c r="G22" s="19">
        <f t="shared" si="0"/>
        <v>0</v>
      </c>
    </row>
    <row r="23" spans="1:7" ht="38.25" customHeight="1">
      <c r="A23" s="1" t="s">
        <v>72</v>
      </c>
      <c r="B23" s="1" t="s">
        <v>71</v>
      </c>
      <c r="C23" s="19">
        <f>81750.12+7978.68+8752.53</f>
        <v>98481.32999999999</v>
      </c>
      <c r="D23" s="19">
        <f>89728.8+8752.53</f>
        <v>98481.33</v>
      </c>
      <c r="E23" s="19">
        <f t="shared" si="1"/>
        <v>98481.33</v>
      </c>
      <c r="F23" s="19">
        <f t="shared" si="2"/>
        <v>98481.33</v>
      </c>
      <c r="G23" s="19">
        <f t="shared" si="0"/>
        <v>0</v>
      </c>
    </row>
    <row r="24" spans="1:7" ht="38.25" customHeight="1">
      <c r="A24" s="1" t="s">
        <v>72</v>
      </c>
      <c r="B24" s="1" t="s">
        <v>76</v>
      </c>
      <c r="C24" s="19">
        <f>16365.09</f>
        <v>16365.09</v>
      </c>
      <c r="D24" s="19">
        <f>16365.09</f>
        <v>16365.09</v>
      </c>
      <c r="E24" s="19">
        <f t="shared" si="1"/>
        <v>16365.09</v>
      </c>
      <c r="F24" s="19">
        <f>D24</f>
        <v>16365.09</v>
      </c>
      <c r="G24" s="19">
        <f t="shared" si="0"/>
        <v>0</v>
      </c>
    </row>
    <row r="25" spans="1:7" ht="38.25" customHeight="1">
      <c r="A25" s="1" t="s">
        <v>73</v>
      </c>
      <c r="B25" s="1" t="s">
        <v>74</v>
      </c>
      <c r="C25" s="19">
        <f>249087.55-12769.98</f>
        <v>236317.56999999998</v>
      </c>
      <c r="D25" s="19">
        <f>148373.52+87944.05</f>
        <v>236317.57</v>
      </c>
      <c r="E25" s="19">
        <f t="shared" si="1"/>
        <v>236317.57</v>
      </c>
      <c r="F25" s="19">
        <f t="shared" si="2"/>
        <v>236317.57</v>
      </c>
      <c r="G25" s="19">
        <f t="shared" si="0"/>
        <v>0</v>
      </c>
    </row>
    <row r="26" spans="1:7" ht="38.25" customHeight="1">
      <c r="A26" s="1" t="s">
        <v>47</v>
      </c>
      <c r="B26" s="1" t="s">
        <v>48</v>
      </c>
      <c r="C26" s="19">
        <f>-1000+98876.8</f>
        <v>97876.8</v>
      </c>
      <c r="D26" s="19">
        <f>97876.8</f>
        <v>97876.8</v>
      </c>
      <c r="E26" s="19">
        <f t="shared" si="1"/>
        <v>97876.8</v>
      </c>
      <c r="F26" s="19">
        <f t="shared" si="2"/>
        <v>97876.8</v>
      </c>
      <c r="G26" s="19">
        <f t="shared" si="0"/>
        <v>0</v>
      </c>
    </row>
    <row r="27" spans="1:7" ht="38.25" customHeight="1">
      <c r="A27" s="1" t="s">
        <v>50</v>
      </c>
      <c r="B27" s="1" t="s">
        <v>51</v>
      </c>
      <c r="C27" s="19">
        <f>1021035-87742.58-354943.03-81750.12-95138.42</f>
        <v>401460.85000000003</v>
      </c>
      <c r="D27" s="19">
        <f>207920.85+46587+26000+46528+74425</f>
        <v>401460.85</v>
      </c>
      <c r="E27" s="19">
        <f t="shared" si="1"/>
        <v>401460.85</v>
      </c>
      <c r="F27" s="19">
        <f t="shared" si="2"/>
        <v>401460.85</v>
      </c>
      <c r="G27" s="19">
        <f t="shared" si="0"/>
        <v>0</v>
      </c>
    </row>
    <row r="28" spans="1:7" ht="38.25">
      <c r="A28" s="1" t="s">
        <v>54</v>
      </c>
      <c r="B28" s="1" t="s">
        <v>30</v>
      </c>
      <c r="C28" s="19">
        <f>32000-4000-10700</f>
        <v>17300</v>
      </c>
      <c r="D28" s="19">
        <f>2200+2200+2200+2200+2200+2100+2100+2100+2600+2700+2700-8000</f>
        <v>17300</v>
      </c>
      <c r="E28" s="19">
        <f t="shared" si="1"/>
        <v>17300</v>
      </c>
      <c r="F28" s="19">
        <f>2200+2200+2200+2200+2200+2100+2100+2100+2600+2700+2700</f>
        <v>25300</v>
      </c>
      <c r="G28" s="19">
        <f t="shared" si="0"/>
        <v>0</v>
      </c>
    </row>
    <row r="29" spans="1:7" ht="25.5">
      <c r="A29" s="1" t="s">
        <v>14</v>
      </c>
      <c r="B29" s="1" t="s">
        <v>31</v>
      </c>
      <c r="C29" s="19">
        <f>25000</f>
        <v>25000</v>
      </c>
      <c r="D29" s="19">
        <f>1500+748.84+1500+653.96+1800+1500+667.97+1500+703.75+1800+1500+652.07+1500+738.21+1500+572.77+1500+602.74+1800+1500+759.69</f>
        <v>25000</v>
      </c>
      <c r="E29" s="19">
        <f t="shared" si="1"/>
        <v>25000</v>
      </c>
      <c r="F29" s="19">
        <f aca="true" t="shared" si="3" ref="F29:F35">D29</f>
        <v>25000</v>
      </c>
      <c r="G29" s="19">
        <f t="shared" si="0"/>
        <v>0</v>
      </c>
    </row>
    <row r="30" spans="1:7" ht="25.5">
      <c r="A30" s="1" t="s">
        <v>14</v>
      </c>
      <c r="B30" s="1" t="s">
        <v>79</v>
      </c>
      <c r="C30" s="19">
        <f>8700</f>
        <v>8700</v>
      </c>
      <c r="D30" s="19">
        <f>1500+747.64+1500+658.91+1800+993.45+1500</f>
        <v>8700</v>
      </c>
      <c r="E30" s="19">
        <f t="shared" si="1"/>
        <v>8700</v>
      </c>
      <c r="F30" s="19">
        <f>D30</f>
        <v>8700</v>
      </c>
      <c r="G30" s="19">
        <f t="shared" si="0"/>
        <v>0</v>
      </c>
    </row>
    <row r="31" spans="1:7" ht="38.25" customHeight="1">
      <c r="A31" s="1" t="s">
        <v>15</v>
      </c>
      <c r="B31" s="1" t="s">
        <v>36</v>
      </c>
      <c r="C31" s="19">
        <f>150000+2100+117600+25000-54410.49-33169.78-10000</f>
        <v>197119.73</v>
      </c>
      <c r="D31" s="19">
        <f>44553.58+36185.89+6052.24+38497.8+31830.22+40000</f>
        <v>197119.73</v>
      </c>
      <c r="E31" s="19">
        <f t="shared" si="1"/>
        <v>197119.73</v>
      </c>
      <c r="F31" s="19">
        <f t="shared" si="3"/>
        <v>197119.73</v>
      </c>
      <c r="G31" s="19">
        <f t="shared" si="0"/>
        <v>0</v>
      </c>
    </row>
    <row r="32" spans="1:7" ht="38.25" customHeight="1">
      <c r="A32" s="1" t="s">
        <v>16</v>
      </c>
      <c r="B32" s="1" t="s">
        <v>37</v>
      </c>
      <c r="C32" s="19">
        <f>30000-16200+1055.94</f>
        <v>14855.94</v>
      </c>
      <c r="D32" s="19">
        <f>647.32+1093.67+1282.24+1263.38+905.11+1489.66+462.04+355.42+941.85+1865.93+2274.66+2274.66</f>
        <v>14855.94</v>
      </c>
      <c r="E32" s="19">
        <f t="shared" si="1"/>
        <v>14855.94</v>
      </c>
      <c r="F32" s="19">
        <f t="shared" si="3"/>
        <v>14855.94</v>
      </c>
      <c r="G32" s="19">
        <f t="shared" si="0"/>
        <v>0</v>
      </c>
    </row>
    <row r="33" spans="1:7" ht="38.25" customHeight="1">
      <c r="A33" s="1" t="s">
        <v>17</v>
      </c>
      <c r="B33" s="1" t="s">
        <v>38</v>
      </c>
      <c r="C33" s="19">
        <f>225000-81800+12030.91</f>
        <v>155230.91</v>
      </c>
      <c r="D33" s="19">
        <f>12871.86+15840.71+17217.14+12291.46+10448.31+3471.5+2942.37+14259.53+21688.03+22058.41+22141.59</f>
        <v>155230.90999999997</v>
      </c>
      <c r="E33" s="19">
        <f t="shared" si="1"/>
        <v>155230.90999999997</v>
      </c>
      <c r="F33" s="19">
        <f t="shared" si="3"/>
        <v>155230.90999999997</v>
      </c>
      <c r="G33" s="19">
        <f t="shared" si="0"/>
        <v>0</v>
      </c>
    </row>
    <row r="34" spans="1:7" ht="38.25" customHeight="1">
      <c r="A34" s="1" t="s">
        <v>18</v>
      </c>
      <c r="B34" s="1" t="s">
        <v>39</v>
      </c>
      <c r="C34" s="19">
        <f>32100-19600+888.93</f>
        <v>13388.93</v>
      </c>
      <c r="D34" s="19">
        <f>540.84+975.95+1144.22+1127.4+807.69+1329.32+421.85+324.5+859.93+1703.63+2076.8+2076.8</f>
        <v>13388.93</v>
      </c>
      <c r="E34" s="19">
        <f t="shared" si="1"/>
        <v>13388.93</v>
      </c>
      <c r="F34" s="19">
        <f t="shared" si="3"/>
        <v>13388.93</v>
      </c>
      <c r="G34" s="19">
        <f t="shared" si="0"/>
        <v>0</v>
      </c>
    </row>
    <row r="35" spans="1:7" ht="38.25" customHeight="1">
      <c r="A35" s="1" t="s">
        <v>32</v>
      </c>
      <c r="B35" s="1" t="s">
        <v>65</v>
      </c>
      <c r="C35" s="19">
        <f>15520</f>
        <v>15520</v>
      </c>
      <c r="D35" s="19">
        <f>6760+1460+1460+1460+1460+1460+1460</f>
        <v>15520</v>
      </c>
      <c r="E35" s="19">
        <f t="shared" si="1"/>
        <v>15520</v>
      </c>
      <c r="F35" s="19">
        <f t="shared" si="3"/>
        <v>15520</v>
      </c>
      <c r="G35" s="19">
        <f t="shared" si="0"/>
        <v>0</v>
      </c>
    </row>
    <row r="36" spans="1:7" ht="38.25" customHeight="1">
      <c r="A36" s="1" t="s">
        <v>32</v>
      </c>
      <c r="B36" s="1" t="s">
        <v>40</v>
      </c>
      <c r="C36" s="19">
        <f>2000</f>
        <v>2000</v>
      </c>
      <c r="D36" s="19">
        <f>1460+540</f>
        <v>2000</v>
      </c>
      <c r="E36" s="19">
        <f t="shared" si="1"/>
        <v>2000</v>
      </c>
      <c r="F36" s="19">
        <v>2000</v>
      </c>
      <c r="G36" s="19">
        <f t="shared" si="0"/>
        <v>0</v>
      </c>
    </row>
    <row r="37" spans="1:7" ht="38.25" customHeight="1">
      <c r="A37" s="1" t="s">
        <v>33</v>
      </c>
      <c r="B37" s="1" t="s">
        <v>66</v>
      </c>
      <c r="C37" s="19">
        <f>17600-1500</f>
        <v>16100</v>
      </c>
      <c r="D37" s="19">
        <f>1300+5000+9300+500</f>
        <v>16100</v>
      </c>
      <c r="E37" s="19">
        <f t="shared" si="1"/>
        <v>16100</v>
      </c>
      <c r="F37" s="19">
        <f aca="true" t="shared" si="4" ref="F37:F50">D37</f>
        <v>16100</v>
      </c>
      <c r="G37" s="19">
        <f t="shared" si="0"/>
        <v>0</v>
      </c>
    </row>
    <row r="38" spans="1:7" ht="38.25" customHeight="1">
      <c r="A38" s="1" t="s">
        <v>33</v>
      </c>
      <c r="B38" s="1" t="s">
        <v>41</v>
      </c>
      <c r="C38" s="19">
        <f>8000</f>
        <v>8000</v>
      </c>
      <c r="D38" s="19">
        <f>8000</f>
        <v>8000</v>
      </c>
      <c r="E38" s="19">
        <f t="shared" si="1"/>
        <v>8000</v>
      </c>
      <c r="F38" s="19">
        <f t="shared" si="4"/>
        <v>8000</v>
      </c>
      <c r="G38" s="19">
        <f t="shared" si="0"/>
        <v>0</v>
      </c>
    </row>
    <row r="39" spans="1:7" ht="38.25" customHeight="1">
      <c r="A39" s="1" t="s">
        <v>33</v>
      </c>
      <c r="B39" s="1" t="s">
        <v>64</v>
      </c>
      <c r="C39" s="19">
        <v>539.94</v>
      </c>
      <c r="D39" s="19">
        <v>539.94</v>
      </c>
      <c r="E39" s="19">
        <f t="shared" si="1"/>
        <v>539.94</v>
      </c>
      <c r="F39" s="19">
        <f t="shared" si="4"/>
        <v>539.94</v>
      </c>
      <c r="G39" s="19">
        <f t="shared" si="0"/>
        <v>0</v>
      </c>
    </row>
    <row r="40" spans="1:7" ht="38.25" customHeight="1">
      <c r="A40" s="1" t="s">
        <v>77</v>
      </c>
      <c r="B40" s="1" t="s">
        <v>78</v>
      </c>
      <c r="C40" s="19">
        <f>38045.4-9257.42</f>
        <v>28787.980000000003</v>
      </c>
      <c r="D40" s="19">
        <f>20458.08+8329.9</f>
        <v>28787.980000000003</v>
      </c>
      <c r="E40" s="19">
        <f t="shared" si="1"/>
        <v>28787.980000000003</v>
      </c>
      <c r="F40" s="19">
        <f>D40</f>
        <v>28787.980000000003</v>
      </c>
      <c r="G40" s="19">
        <f t="shared" si="0"/>
        <v>0</v>
      </c>
    </row>
    <row r="41" spans="1:7" ht="38.25" customHeight="1">
      <c r="A41" s="1" t="s">
        <v>55</v>
      </c>
      <c r="B41" s="1" t="s">
        <v>81</v>
      </c>
      <c r="C41" s="19">
        <f>30000-3284.11</f>
        <v>26715.89</v>
      </c>
      <c r="D41" s="19">
        <f>1820+15000+7430.89+1100+1365</f>
        <v>26715.89</v>
      </c>
      <c r="E41" s="19">
        <f t="shared" si="1"/>
        <v>26715.89</v>
      </c>
      <c r="F41" s="19">
        <f t="shared" si="4"/>
        <v>26715.89</v>
      </c>
      <c r="G41" s="19">
        <f t="shared" si="0"/>
        <v>0</v>
      </c>
    </row>
    <row r="42" spans="1:7" ht="38.25" customHeight="1">
      <c r="A42" s="1" t="s">
        <v>19</v>
      </c>
      <c r="B42" s="1" t="s">
        <v>42</v>
      </c>
      <c r="C42" s="19">
        <f>94000-4000</f>
        <v>90000</v>
      </c>
      <c r="D42" s="19">
        <f>20000+20000+6408.5+9069.6+10000+11722+12799.9</f>
        <v>90000</v>
      </c>
      <c r="E42" s="19">
        <f t="shared" si="1"/>
        <v>90000</v>
      </c>
      <c r="F42" s="19">
        <f t="shared" si="4"/>
        <v>90000</v>
      </c>
      <c r="G42" s="19">
        <f t="shared" si="0"/>
        <v>0</v>
      </c>
    </row>
    <row r="43" spans="1:7" ht="38.25" customHeight="1">
      <c r="A43" s="1" t="s">
        <v>19</v>
      </c>
      <c r="B43" s="1" t="s">
        <v>62</v>
      </c>
      <c r="C43" s="19">
        <f>28680+8604</f>
        <v>37284</v>
      </c>
      <c r="D43" s="19">
        <f>37284</f>
        <v>37284</v>
      </c>
      <c r="E43" s="19">
        <f t="shared" si="1"/>
        <v>37284</v>
      </c>
      <c r="F43" s="19">
        <f t="shared" si="4"/>
        <v>37284</v>
      </c>
      <c r="G43" s="19">
        <f t="shared" si="0"/>
        <v>0</v>
      </c>
    </row>
    <row r="44" spans="1:7" ht="38.25" customHeight="1">
      <c r="A44" s="1" t="s">
        <v>19</v>
      </c>
      <c r="B44" s="1" t="s">
        <v>87</v>
      </c>
      <c r="C44" s="19">
        <v>43020</v>
      </c>
      <c r="D44" s="19">
        <v>43020</v>
      </c>
      <c r="E44" s="19">
        <f t="shared" si="1"/>
        <v>43020</v>
      </c>
      <c r="F44" s="19">
        <f>D44</f>
        <v>43020</v>
      </c>
      <c r="G44" s="19">
        <f>C44-D44</f>
        <v>0</v>
      </c>
    </row>
    <row r="45" spans="1:7" ht="38.25" customHeight="1">
      <c r="A45" s="1" t="s">
        <v>19</v>
      </c>
      <c r="B45" s="1" t="s">
        <v>75</v>
      </c>
      <c r="C45" s="19">
        <f>10803</f>
        <v>10803</v>
      </c>
      <c r="D45" s="19">
        <v>10803</v>
      </c>
      <c r="E45" s="19">
        <f t="shared" si="1"/>
        <v>10803</v>
      </c>
      <c r="F45" s="19">
        <f>D45</f>
        <v>10803</v>
      </c>
      <c r="G45" s="19">
        <f t="shared" si="0"/>
        <v>0</v>
      </c>
    </row>
    <row r="46" spans="1:7" ht="38.25" customHeight="1">
      <c r="A46" s="1" t="s">
        <v>55</v>
      </c>
      <c r="B46" s="1" t="s">
        <v>63</v>
      </c>
      <c r="C46" s="19">
        <f>173.08</f>
        <v>173.08</v>
      </c>
      <c r="D46" s="19">
        <f>217.38-44.3</f>
        <v>173.07999999999998</v>
      </c>
      <c r="E46" s="19">
        <f t="shared" si="1"/>
        <v>173.07999999999998</v>
      </c>
      <c r="F46" s="19">
        <f t="shared" si="4"/>
        <v>173.07999999999998</v>
      </c>
      <c r="G46" s="19">
        <f t="shared" si="0"/>
        <v>0</v>
      </c>
    </row>
    <row r="47" spans="1:7" ht="38.25" customHeight="1">
      <c r="A47" s="1" t="s">
        <v>55</v>
      </c>
      <c r="B47" s="1" t="s">
        <v>86</v>
      </c>
      <c r="C47" s="19">
        <f>229.44</f>
        <v>229.44</v>
      </c>
      <c r="D47" s="19">
        <v>229.44</v>
      </c>
      <c r="E47" s="19">
        <f t="shared" si="1"/>
        <v>229.44</v>
      </c>
      <c r="F47" s="19">
        <f>D47</f>
        <v>229.44</v>
      </c>
      <c r="G47" s="19">
        <f>C47-D47</f>
        <v>0</v>
      </c>
    </row>
    <row r="48" spans="1:7" ht="38.25" customHeight="1">
      <c r="A48" s="1" t="s">
        <v>34</v>
      </c>
      <c r="B48" s="1" t="s">
        <v>82</v>
      </c>
      <c r="C48" s="19">
        <f>7380.01</f>
        <v>7380.01</v>
      </c>
      <c r="D48" s="19">
        <v>7380.01</v>
      </c>
      <c r="E48" s="19">
        <f t="shared" si="1"/>
        <v>7380.01</v>
      </c>
      <c r="F48" s="19">
        <f>D48</f>
        <v>7380.01</v>
      </c>
      <c r="G48" s="19">
        <f>C48-D48</f>
        <v>0</v>
      </c>
    </row>
    <row r="49" spans="1:7" ht="38.25" customHeight="1">
      <c r="A49" s="1" t="s">
        <v>34</v>
      </c>
      <c r="B49" s="1" t="s">
        <v>83</v>
      </c>
      <c r="C49" s="19">
        <f>32451.42+10000+10700</f>
        <v>53151.42</v>
      </c>
      <c r="D49" s="19">
        <f>9009.99+44141.43</f>
        <v>53151.42</v>
      </c>
      <c r="E49" s="19">
        <f t="shared" si="1"/>
        <v>53151.42</v>
      </c>
      <c r="F49" s="19">
        <f>D49</f>
        <v>53151.42</v>
      </c>
      <c r="G49" s="19">
        <f>C49-D49</f>
        <v>0</v>
      </c>
    </row>
    <row r="50" spans="1:7" ht="38.25" customHeight="1">
      <c r="A50" s="1" t="s">
        <v>34</v>
      </c>
      <c r="B50" s="1" t="s">
        <v>58</v>
      </c>
      <c r="C50" s="19">
        <v>5400</v>
      </c>
      <c r="D50" s="19">
        <v>5400</v>
      </c>
      <c r="E50" s="19">
        <f t="shared" si="1"/>
        <v>5400</v>
      </c>
      <c r="F50" s="19">
        <f t="shared" si="4"/>
        <v>5400</v>
      </c>
      <c r="G50" s="19">
        <f t="shared" si="0"/>
        <v>0</v>
      </c>
    </row>
    <row r="51" spans="1:7" ht="38.25" customHeight="1">
      <c r="A51" s="1" t="s">
        <v>34</v>
      </c>
      <c r="B51" s="1" t="s">
        <v>43</v>
      </c>
      <c r="C51" s="19">
        <f>10000</f>
        <v>10000</v>
      </c>
      <c r="D51" s="19">
        <v>10000</v>
      </c>
      <c r="E51" s="19">
        <f t="shared" si="1"/>
        <v>10000</v>
      </c>
      <c r="F51" s="19"/>
      <c r="G51" s="19">
        <f t="shared" si="0"/>
        <v>0</v>
      </c>
    </row>
    <row r="52" spans="1:7" ht="14.25">
      <c r="A52" s="20" t="s">
        <v>22</v>
      </c>
      <c r="B52" s="7"/>
      <c r="C52" s="19">
        <f>SUM(C8:C51)</f>
        <v>12114014.04</v>
      </c>
      <c r="D52" s="19">
        <f>SUM(D8:D51)</f>
        <v>12114014.04</v>
      </c>
      <c r="E52" s="19">
        <f>SUM(E8:E51)</f>
        <v>12114014.04</v>
      </c>
      <c r="F52" s="19">
        <f>SUM(F8:F51)</f>
        <v>11275682.27</v>
      </c>
      <c r="G52" s="19">
        <f>SUM(G8:G51)</f>
        <v>0</v>
      </c>
    </row>
    <row r="53" spans="1:7" ht="15">
      <c r="A53" s="6"/>
      <c r="B53" s="7"/>
      <c r="C53" s="19"/>
      <c r="D53" s="19"/>
      <c r="E53" s="19"/>
      <c r="F53" s="19"/>
      <c r="G53" s="19">
        <f>C53-D53</f>
        <v>0</v>
      </c>
    </row>
    <row r="54" spans="1:7" ht="36.75" customHeight="1">
      <c r="A54" s="1" t="s">
        <v>20</v>
      </c>
      <c r="B54" s="1" t="s">
        <v>57</v>
      </c>
      <c r="C54" s="19">
        <f>161000-4220.61</f>
        <v>156779.39</v>
      </c>
      <c r="D54" s="2">
        <f>24723.4+12604+12972+12972+7516.88+15204.32+12113.5+92+4410.7+13800+5653+34717.59</f>
        <v>156779.39</v>
      </c>
      <c r="E54" s="19">
        <f>D54</f>
        <v>156779.39</v>
      </c>
      <c r="F54" s="19">
        <f>10656.4+13067+12604+12972+12972+7516.88+27317.82+92+5410.7+13800+13800</f>
        <v>130208.8</v>
      </c>
      <c r="G54" s="19">
        <f>C54-D54</f>
        <v>0</v>
      </c>
    </row>
    <row r="55" spans="1:7" ht="38.25">
      <c r="A55" s="1" t="s">
        <v>21</v>
      </c>
      <c r="B55" s="1" t="s">
        <v>56</v>
      </c>
      <c r="C55" s="19">
        <f>48622-1274.39</f>
        <v>47347.61</v>
      </c>
      <c r="D55" s="2">
        <f>7466.46+3806.41+2270.09+3917.54+3917.54+5106.92+3143.07+27.78+1332.03+4167.6+12192.17</f>
        <v>47347.60999999999</v>
      </c>
      <c r="E55" s="19">
        <f>D55</f>
        <v>47347.60999999999</v>
      </c>
      <c r="F55" s="19">
        <f>3520.23+3946.23+3806.41+3917.54+3917.54+2270.09+8249.99+27.78+1332.03+4167.6+4167.6</f>
        <v>39323.03999999999</v>
      </c>
      <c r="G55" s="19">
        <f>C55-D55</f>
        <v>0</v>
      </c>
    </row>
    <row r="56" spans="1:7" ht="14.25">
      <c r="A56" s="20" t="s">
        <v>22</v>
      </c>
      <c r="B56" s="7"/>
      <c r="C56" s="19">
        <f>C54+C55</f>
        <v>204127</v>
      </c>
      <c r="D56" s="19">
        <f>D54+D55</f>
        <v>204127</v>
      </c>
      <c r="E56" s="19">
        <f>E54+E55</f>
        <v>204127</v>
      </c>
      <c r="F56" s="19">
        <f>F54+F55</f>
        <v>169531.84</v>
      </c>
      <c r="G56" s="19">
        <f>G54+G55</f>
        <v>0</v>
      </c>
    </row>
    <row r="57" spans="1:7" ht="14.25">
      <c r="A57" s="20" t="s">
        <v>23</v>
      </c>
      <c r="B57" s="7"/>
      <c r="C57" s="19">
        <f>C52+C56</f>
        <v>12318141.04</v>
      </c>
      <c r="D57" s="19">
        <f>D52+D56</f>
        <v>12318141.04</v>
      </c>
      <c r="E57" s="19">
        <f>E52+E56</f>
        <v>12318141.04</v>
      </c>
      <c r="F57" s="19">
        <f>F52+F56</f>
        <v>11445214.11</v>
      </c>
      <c r="G57" s="19">
        <f>G52+G56</f>
        <v>0</v>
      </c>
    </row>
    <row r="59" spans="2:3" ht="12.75">
      <c r="B59" t="s">
        <v>84</v>
      </c>
      <c r="C59" t="s">
        <v>85</v>
      </c>
    </row>
    <row r="61" spans="2:3" ht="12.75">
      <c r="B61" t="s">
        <v>25</v>
      </c>
      <c r="C61" t="s">
        <v>26</v>
      </c>
    </row>
  </sheetData>
  <sheetProtection/>
  <mergeCells count="4">
    <mergeCell ref="B1:F1"/>
    <mergeCell ref="A3:G3"/>
    <mergeCell ref="B5:D5"/>
    <mergeCell ref="B2:E2"/>
  </mergeCells>
  <printOptions/>
  <pageMargins left="0.75" right="0.17" top="0.16" bottom="0.15" header="0.16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Камалов Аклим Фаизович</cp:lastModifiedBy>
  <cp:lastPrinted>2013-12-27T10:25:51Z</cp:lastPrinted>
  <dcterms:created xsi:type="dcterms:W3CDTF">2011-09-07T09:56:23Z</dcterms:created>
  <dcterms:modified xsi:type="dcterms:W3CDTF">2013-12-27T10:25:54Z</dcterms:modified>
  <cp:category/>
  <cp:version/>
  <cp:contentType/>
  <cp:contentStatus/>
</cp:coreProperties>
</file>